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autoCompressPictures="0"/>
  <bookViews>
    <workbookView xWindow="2520" yWindow="0" windowWidth="24760" windowHeight="17480" activeTab="4"/>
  </bookViews>
  <sheets>
    <sheet name="Income &amp; Expediture" sheetId="1" r:id="rId1"/>
    <sheet name="Profit and Loss" sheetId="4" r:id="rId2"/>
    <sheet name="Assumptions" sheetId="3" r:id="rId3"/>
    <sheet name="Marketing" sheetId="2" r:id="rId4"/>
    <sheet name="Financial Forecast" sheetId="5" r:id="rId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3" l="1"/>
  <c r="B9" i="5"/>
  <c r="B12" i="5"/>
  <c r="B17" i="5"/>
  <c r="C17" i="5"/>
  <c r="D17" i="5"/>
  <c r="E17" i="5"/>
  <c r="F16" i="5"/>
  <c r="E16" i="5"/>
  <c r="D16" i="5"/>
  <c r="C16" i="5"/>
  <c r="B16" i="5"/>
  <c r="F17" i="5"/>
  <c r="B26" i="5"/>
  <c r="B34" i="3"/>
  <c r="F12" i="5"/>
  <c r="F26" i="5"/>
  <c r="F36" i="5"/>
  <c r="B30" i="3"/>
  <c r="B33" i="3"/>
  <c r="C30" i="5"/>
  <c r="D30" i="5"/>
  <c r="E30" i="5"/>
  <c r="F30" i="5"/>
  <c r="F32" i="5"/>
  <c r="F35" i="5"/>
  <c r="F37" i="5"/>
  <c r="E32" i="5"/>
  <c r="E35" i="5"/>
  <c r="E26" i="5"/>
  <c r="E36" i="5"/>
  <c r="E37" i="5"/>
  <c r="F31" i="5"/>
  <c r="E31" i="5"/>
  <c r="E12" i="5"/>
  <c r="D9" i="5"/>
  <c r="D23" i="5"/>
  <c r="D12" i="5"/>
  <c r="D26" i="5"/>
  <c r="C12" i="5"/>
  <c r="C26" i="5"/>
  <c r="D32" i="5"/>
  <c r="D35" i="5"/>
  <c r="C32" i="5"/>
  <c r="C35" i="5"/>
  <c r="B32" i="5"/>
  <c r="B35" i="5"/>
  <c r="D18" i="5"/>
  <c r="B31" i="5"/>
  <c r="B5" i="1"/>
  <c r="D24" i="5"/>
  <c r="F25" i="3"/>
  <c r="H25" i="3"/>
  <c r="B37" i="3"/>
  <c r="F24" i="3"/>
  <c r="H24" i="3"/>
  <c r="B38" i="3"/>
  <c r="F26" i="3"/>
  <c r="H26" i="3"/>
  <c r="B39" i="3"/>
  <c r="B41" i="3"/>
  <c r="D11" i="5"/>
  <c r="D5" i="5"/>
  <c r="D36" i="5"/>
  <c r="D37" i="5"/>
  <c r="B31" i="3"/>
  <c r="B32" i="3"/>
  <c r="B44" i="3"/>
  <c r="D31" i="5"/>
  <c r="C24" i="5"/>
  <c r="C36" i="5"/>
  <c r="C37" i="5"/>
  <c r="C31" i="5"/>
  <c r="B36" i="5"/>
  <c r="B37" i="5"/>
  <c r="B24" i="5"/>
  <c r="B11" i="5"/>
  <c r="B5" i="5"/>
  <c r="B39" i="1"/>
  <c r="B10" i="1"/>
  <c r="B16" i="1"/>
  <c r="B11" i="1"/>
  <c r="B22" i="1"/>
  <c r="B12" i="1"/>
  <c r="B28" i="1"/>
  <c r="B27" i="1"/>
  <c r="B20" i="1"/>
  <c r="B23" i="1"/>
  <c r="B29" i="1"/>
  <c r="B2" i="4"/>
  <c r="B3" i="1"/>
  <c r="B4" i="1"/>
  <c r="B7" i="1"/>
  <c r="B13" i="1"/>
  <c r="B3" i="4"/>
  <c r="B4" i="4"/>
</calcChain>
</file>

<file path=xl/sharedStrings.xml><?xml version="1.0" encoding="utf-8"?>
<sst xmlns="http://schemas.openxmlformats.org/spreadsheetml/2006/main" count="151" uniqueCount="116">
  <si>
    <t>Vehicle branding</t>
  </si>
  <si>
    <t>Company registration</t>
  </si>
  <si>
    <t>web site</t>
  </si>
  <si>
    <t>Incomings</t>
  </si>
  <si>
    <t>Advertising  revenue</t>
  </si>
  <si>
    <t>Site rental</t>
  </si>
  <si>
    <t>Printing and Advertising</t>
  </si>
  <si>
    <t>event web sites</t>
  </si>
  <si>
    <t>marketing</t>
  </si>
  <si>
    <t>matteresses</t>
  </si>
  <si>
    <t>Warehouse rent</t>
  </si>
  <si>
    <t>Utilities costs</t>
  </si>
  <si>
    <t>fuel</t>
  </si>
  <si>
    <t>renewals (replacements)</t>
  </si>
  <si>
    <t>Annual Outgoings</t>
  </si>
  <si>
    <t>Capital Costs (set-up)</t>
  </si>
  <si>
    <t>Retained deposits</t>
  </si>
  <si>
    <t xml:space="preserve">3.5 million people attended music festivals in the United Kingdom in 2014. </t>
  </si>
  <si>
    <t>gbp</t>
  </si>
  <si>
    <t>Rental charge per matteress</t>
  </si>
  <si>
    <t>Cost per matteress</t>
  </si>
  <si>
    <t>Cost per chair</t>
  </si>
  <si>
    <t>Folding Lightweight Picnic Camping Chair - Kingfisher</t>
  </si>
  <si>
    <t>Cost per tent</t>
  </si>
  <si>
    <t>Pop Up 200 SD 2 Man Tent
from Blacks</t>
  </si>
  <si>
    <t>Marker poles</t>
  </si>
  <si>
    <t>Average attendance per festival 1000</t>
  </si>
  <si>
    <t>300 to 400 rentals per event</t>
  </si>
  <si>
    <t>total stock per event</t>
  </si>
  <si>
    <t>Chairs</t>
  </si>
  <si>
    <t>tents</t>
  </si>
  <si>
    <t>Reserve stock</t>
  </si>
  <si>
    <t>estimated rentals</t>
  </si>
  <si>
    <t xml:space="preserve">total stock </t>
  </si>
  <si>
    <t>Revenue Assumptions</t>
  </si>
  <si>
    <t>Tent hire</t>
  </si>
  <si>
    <t>Matteresses</t>
  </si>
  <si>
    <t>GBP</t>
  </si>
  <si>
    <t>Total rental revenue</t>
  </si>
  <si>
    <t>Itemised Costs</t>
  </si>
  <si>
    <t>Tents</t>
  </si>
  <si>
    <t>chairs</t>
  </si>
  <si>
    <t>Total initial stocks</t>
  </si>
  <si>
    <t>Total Cost of Stock</t>
  </si>
  <si>
    <t>Annual Hire Revenue</t>
  </si>
  <si>
    <t>Total stock</t>
  </si>
  <si>
    <t>cost per wrist band</t>
  </si>
  <si>
    <t>Wristbands</t>
  </si>
  <si>
    <t>estimate</t>
  </si>
  <si>
    <t>Vehicles (side curtain tuck)</t>
  </si>
  <si>
    <t xml:space="preserve"> Second hand  3 years old</t>
  </si>
  <si>
    <t>Casual labour</t>
  </si>
  <si>
    <t>Staff costs</t>
  </si>
  <si>
    <t>http://www.rightmove.co.uk/commercial-property-to-let/West-Midlands-County.html</t>
  </si>
  <si>
    <t>depreciation</t>
  </si>
  <si>
    <t>Annual Incomings</t>
  </si>
  <si>
    <t>Profit before tax</t>
  </si>
  <si>
    <t>http://www.knowyourmoney.co.uk/business-loans/?gclid=CJnw3MT-n8oCFcWVGwodjj0GNA</t>
  </si>
  <si>
    <t>920 sq ft</t>
  </si>
  <si>
    <t>8% interest</t>
  </si>
  <si>
    <t xml:space="preserve">Finance interest </t>
  </si>
  <si>
    <t>Start up loan repayment</t>
  </si>
  <si>
    <t xml:space="preserve"> 5 year loan</t>
  </si>
  <si>
    <t>Retained  deposits</t>
  </si>
  <si>
    <t xml:space="preserve"> 1 each weekend for 4 months</t>
  </si>
  <si>
    <t>GO Outdoors Sleep Easy Self Inflating Matt from GO Outdoors</t>
  </si>
  <si>
    <t>Average attendance per event</t>
  </si>
  <si>
    <t xml:space="preserve">% camping per event </t>
  </si>
  <si>
    <t>% VIP camping per event</t>
  </si>
  <si>
    <t>% tents left behind</t>
  </si>
  <si>
    <t xml:space="preserve">tent figure is based upon a 2 man tent for 10 percent of the average attendance at festival camping. </t>
  </si>
  <si>
    <t>T in the park has 60,000 campers</t>
  </si>
  <si>
    <t xml:space="preserve">that would mean </t>
  </si>
  <si>
    <t>catering for 6000 people--- 3000 tents</t>
  </si>
  <si>
    <t xml:space="preserve">% of campers hiring </t>
  </si>
  <si>
    <t>Wirst bands (100 per box min 71 boxes)- 7100 bands</t>
  </si>
  <si>
    <t>Professional fees (accounts, insurance…Legal)</t>
  </si>
  <si>
    <t>Rentals main income</t>
  </si>
  <si>
    <t>4 full time plus casual labour</t>
  </si>
  <si>
    <t>based on 30 people for 16 hours (2 Days each event 7 pounds per hour)</t>
  </si>
  <si>
    <t>site manager x 2</t>
  </si>
  <si>
    <t>van drivers x2</t>
  </si>
  <si>
    <t>Year 1 staff</t>
  </si>
  <si>
    <t>finance/ administrator</t>
  </si>
  <si>
    <t>general managing director</t>
  </si>
  <si>
    <t>Marketing- part time</t>
  </si>
  <si>
    <t>Salaries</t>
  </si>
  <si>
    <t>Total</t>
  </si>
  <si>
    <t>Capital Costs</t>
  </si>
  <si>
    <t>Total anuual income</t>
  </si>
  <si>
    <t>Total annual outgoings</t>
  </si>
  <si>
    <t>Year1</t>
  </si>
  <si>
    <t>Year5</t>
  </si>
  <si>
    <t>Year 2</t>
  </si>
  <si>
    <t>Year 3</t>
  </si>
  <si>
    <t>Year 4</t>
  </si>
  <si>
    <t>Notes</t>
  </si>
  <si>
    <t>rebrand Vehicles</t>
  </si>
  <si>
    <t>marketing-billboards, cloathing</t>
  </si>
  <si>
    <t>Buy third Vehicle</t>
  </si>
  <si>
    <t>Rebrand all vehicles</t>
  </si>
  <si>
    <t>Total events per annum (1)</t>
  </si>
  <si>
    <t>Rental charge per chair (2)</t>
  </si>
  <si>
    <t>Rental charge per tent (3)</t>
  </si>
  <si>
    <t>Tent deposit (4)</t>
  </si>
  <si>
    <t xml:space="preserve">Working Capital </t>
  </si>
  <si>
    <t>Vehicles (side curtain truck)  (1)</t>
  </si>
  <si>
    <t>Working Capital</t>
  </si>
  <si>
    <t>Number of Days per event</t>
  </si>
  <si>
    <t>nights</t>
  </si>
  <si>
    <t>Net Profit before tax</t>
  </si>
  <si>
    <t>need to times by the 2 days</t>
  </si>
  <si>
    <t>interest rate return 8 %</t>
  </si>
  <si>
    <t>Profit and Loss</t>
  </si>
  <si>
    <t>n/a- option</t>
  </si>
  <si>
    <t>x2 for average 3  day event total rental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</si>
</sst>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scheme val="minor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/>
    <xf numFmtId="0" fontId="3" fillId="0" borderId="0" xfId="0" applyFont="1"/>
    <xf numFmtId="0" fontId="3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" fillId="0" borderId="0" xfId="2"/>
    <xf numFmtId="164" fontId="0" fillId="0" borderId="0" xfId="1" applyFont="1"/>
    <xf numFmtId="164" fontId="0" fillId="0" borderId="1" xfId="0" applyNumberFormat="1" applyBorder="1"/>
    <xf numFmtId="164" fontId="0" fillId="0" borderId="0" xfId="0" applyNumberFormat="1"/>
    <xf numFmtId="3" fontId="0" fillId="0" borderId="0" xfId="0" applyNumberFormat="1" applyAlignment="1">
      <alignment wrapText="1"/>
    </xf>
    <xf numFmtId="164" fontId="0" fillId="0" borderId="1" xfId="1" applyFont="1" applyBorder="1"/>
    <xf numFmtId="164" fontId="2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1" fontId="0" fillId="0" borderId="0" xfId="0" applyNumberFormat="1"/>
    <xf numFmtId="0" fontId="0" fillId="4" borderId="0" xfId="0" applyFill="1"/>
    <xf numFmtId="0" fontId="0" fillId="0" borderId="0" xfId="0" applyFill="1"/>
    <xf numFmtId="0" fontId="2" fillId="0" borderId="0" xfId="0" applyFont="1" applyAlignment="1">
      <alignment horizontal="right"/>
    </xf>
    <xf numFmtId="0" fontId="3" fillId="0" borderId="2" xfId="0" applyFont="1" applyBorder="1"/>
    <xf numFmtId="0" fontId="0" fillId="0" borderId="2" xfId="0" applyBorder="1"/>
    <xf numFmtId="0" fontId="0" fillId="0" borderId="2" xfId="0" applyBorder="1" applyAlignment="1"/>
    <xf numFmtId="1" fontId="0" fillId="0" borderId="2" xfId="0" applyNumberFormat="1" applyBorder="1"/>
    <xf numFmtId="164" fontId="0" fillId="0" borderId="2" xfId="1" applyFont="1" applyBorder="1"/>
    <xf numFmtId="164" fontId="0" fillId="0" borderId="2" xfId="0" applyNumberFormat="1" applyBorder="1"/>
    <xf numFmtId="0" fontId="0" fillId="0" borderId="2" xfId="0" applyFont="1" applyBorder="1" applyAlignment="1"/>
    <xf numFmtId="3" fontId="0" fillId="0" borderId="2" xfId="0" applyNumberFormat="1" applyBorder="1"/>
    <xf numFmtId="165" fontId="0" fillId="0" borderId="2" xfId="0" applyNumberFormat="1" applyBorder="1"/>
    <xf numFmtId="0" fontId="0" fillId="4" borderId="2" xfId="0" applyFill="1" applyBorder="1"/>
    <xf numFmtId="0" fontId="0" fillId="0" borderId="2" xfId="0" applyFill="1" applyBorder="1"/>
    <xf numFmtId="9" fontId="0" fillId="0" borderId="2" xfId="0" applyNumberFormat="1" applyFill="1" applyBorder="1"/>
    <xf numFmtId="0" fontId="0" fillId="0" borderId="2" xfId="0" applyBorder="1" applyAlignment="1">
      <alignment wrapText="1"/>
    </xf>
    <xf numFmtId="1" fontId="5" fillId="0" borderId="2" xfId="0" applyNumberFormat="1" applyFont="1" applyBorder="1"/>
    <xf numFmtId="0" fontId="2" fillId="0" borderId="2" xfId="0" applyFont="1" applyBorder="1"/>
    <xf numFmtId="2" fontId="0" fillId="0" borderId="2" xfId="0" applyNumberFormat="1" applyBorder="1"/>
    <xf numFmtId="0" fontId="0" fillId="0" borderId="2" xfId="0" applyFont="1" applyBorder="1"/>
    <xf numFmtId="0" fontId="3" fillId="0" borderId="2" xfId="0" applyFont="1" applyBorder="1" applyAlignment="1"/>
    <xf numFmtId="43" fontId="0" fillId="0" borderId="2" xfId="0" applyNumberFormat="1" applyBorder="1"/>
    <xf numFmtId="0" fontId="0" fillId="0" borderId="3" xfId="0" applyFill="1" applyBorder="1"/>
    <xf numFmtId="164" fontId="0" fillId="0" borderId="2" xfId="1" applyFont="1" applyFill="1" applyBorder="1"/>
    <xf numFmtId="164" fontId="0" fillId="0" borderId="2" xfId="0" applyNumberFormat="1" applyFill="1" applyBorder="1"/>
    <xf numFmtId="43" fontId="0" fillId="0" borderId="2" xfId="0" applyNumberFormat="1" applyFill="1" applyBorder="1"/>
    <xf numFmtId="2" fontId="6" fillId="0" borderId="2" xfId="0" applyNumberFormat="1" applyFont="1" applyBorder="1"/>
    <xf numFmtId="4" fontId="0" fillId="0" borderId="2" xfId="0" applyNumberFormat="1" applyBorder="1" applyAlignment="1">
      <alignment wrapText="1"/>
    </xf>
    <xf numFmtId="164" fontId="0" fillId="0" borderId="2" xfId="1" applyFont="1" applyBorder="1" applyAlignment="1">
      <alignment horizontal="left" indent="6"/>
    </xf>
    <xf numFmtId="0" fontId="0" fillId="0" borderId="5" xfId="0" applyBorder="1"/>
    <xf numFmtId="164" fontId="0" fillId="0" borderId="4" xfId="0" applyNumberFormat="1" applyBorder="1"/>
    <xf numFmtId="0" fontId="0" fillId="0" borderId="4" xfId="0" applyBorder="1"/>
    <xf numFmtId="164" fontId="0" fillId="0" borderId="4" xfId="1" applyFont="1" applyBorder="1"/>
  </cellXfs>
  <cellStyles count="33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ghtmove.co.uk/commercial-property-to-let/West-Midlands-County.html" TargetMode="External"/><Relationship Id="rId2" Type="http://schemas.openxmlformats.org/officeDocument/2006/relationships/hyperlink" Target="http://www.knowyourmoney.co.uk/business-loans/?gclid=CJnw3MT-n8oCFcWVGwodjj0G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C17" sqref="C17"/>
    </sheetView>
  </sheetViews>
  <sheetFormatPr baseColWidth="10" defaultColWidth="8.83203125" defaultRowHeight="14" x14ac:dyDescent="0"/>
  <cols>
    <col min="1" max="1" width="37.83203125" customWidth="1"/>
    <col min="2" max="2" width="27.6640625" customWidth="1"/>
    <col min="3" max="3" width="58.6640625" customWidth="1"/>
  </cols>
  <sheetData>
    <row r="1" spans="1:5">
      <c r="A1" s="3" t="s">
        <v>14</v>
      </c>
      <c r="B1" s="1"/>
      <c r="C1" s="15"/>
    </row>
    <row r="2" spans="1:5" ht="14.25" customHeight="1">
      <c r="A2" t="s">
        <v>10</v>
      </c>
      <c r="B2" s="11">
        <v>35000</v>
      </c>
      <c r="C2" s="15" t="s">
        <v>58</v>
      </c>
      <c r="E2" s="7" t="s">
        <v>53</v>
      </c>
    </row>
    <row r="3" spans="1:5">
      <c r="A3" t="s">
        <v>60</v>
      </c>
      <c r="B3" s="8">
        <f>B23*8%</f>
        <v>19990.172000000002</v>
      </c>
      <c r="C3" s="15" t="s">
        <v>59</v>
      </c>
      <c r="E3" s="7" t="s">
        <v>57</v>
      </c>
    </row>
    <row r="4" spans="1:5">
      <c r="A4" t="s">
        <v>61</v>
      </c>
      <c r="B4" s="8">
        <f>B23/5</f>
        <v>49975.430000000008</v>
      </c>
      <c r="C4" s="15" t="s">
        <v>62</v>
      </c>
      <c r="D4" s="16"/>
      <c r="E4" s="7"/>
    </row>
    <row r="5" spans="1:5">
      <c r="A5" t="s">
        <v>5</v>
      </c>
      <c r="B5" s="8">
        <f>Assumptions!B2*60000</f>
        <v>360000</v>
      </c>
      <c r="C5" s="15"/>
      <c r="E5" s="7"/>
    </row>
    <row r="6" spans="1:5">
      <c r="A6" s="5" t="s">
        <v>8</v>
      </c>
      <c r="B6" s="8">
        <v>6000</v>
      </c>
      <c r="C6" s="15"/>
    </row>
    <row r="7" spans="1:5">
      <c r="A7" s="5" t="s">
        <v>13</v>
      </c>
      <c r="B7" s="10">
        <f>B20*40%</f>
        <v>58250.860000000015</v>
      </c>
      <c r="C7" s="15"/>
    </row>
    <row r="8" spans="1:5">
      <c r="A8" s="5" t="s">
        <v>11</v>
      </c>
      <c r="B8" s="8">
        <v>2000</v>
      </c>
      <c r="C8" s="15"/>
    </row>
    <row r="9" spans="1:5">
      <c r="A9" s="5" t="s">
        <v>51</v>
      </c>
      <c r="B9" s="8">
        <v>20160</v>
      </c>
      <c r="C9" s="15" t="s">
        <v>79</v>
      </c>
      <c r="D9" s="17"/>
    </row>
    <row r="10" spans="1:5">
      <c r="A10" s="5" t="s">
        <v>52</v>
      </c>
      <c r="B10" s="8">
        <f>B39</f>
        <v>195000</v>
      </c>
      <c r="C10" s="15" t="s">
        <v>78</v>
      </c>
      <c r="D10" s="16"/>
    </row>
    <row r="11" spans="1:5">
      <c r="A11" s="5" t="s">
        <v>12</v>
      </c>
      <c r="B11" s="8">
        <f>15*150*2</f>
        <v>4500</v>
      </c>
      <c r="C11" s="15"/>
    </row>
    <row r="12" spans="1:5">
      <c r="A12" s="5" t="s">
        <v>54</v>
      </c>
      <c r="B12" s="10">
        <f>B22*20%</f>
        <v>6000</v>
      </c>
      <c r="C12" s="15"/>
    </row>
    <row r="13" spans="1:5" ht="15" thickBot="1">
      <c r="A13" s="5"/>
      <c r="B13" s="12">
        <f>SUM(B2:B12)</f>
        <v>756876.46200000006</v>
      </c>
      <c r="C13" s="15"/>
    </row>
    <row r="14" spans="1:5" ht="15" thickTop="1">
      <c r="C14" s="15"/>
    </row>
    <row r="15" spans="1:5">
      <c r="A15" s="22" t="s">
        <v>15</v>
      </c>
      <c r="B15" s="23"/>
      <c r="C15" s="15"/>
    </row>
    <row r="16" spans="1:5">
      <c r="A16" s="23" t="s">
        <v>0</v>
      </c>
      <c r="B16" s="26">
        <f>1500*2</f>
        <v>3000</v>
      </c>
      <c r="C16" s="15"/>
    </row>
    <row r="17" spans="1:4">
      <c r="A17" s="23" t="s">
        <v>76</v>
      </c>
      <c r="B17" s="26">
        <v>20000</v>
      </c>
      <c r="C17" s="15"/>
    </row>
    <row r="18" spans="1:4">
      <c r="A18" s="23" t="s">
        <v>1</v>
      </c>
      <c r="B18" s="26">
        <v>250</v>
      </c>
      <c r="C18" s="15"/>
    </row>
    <row r="19" spans="1:4">
      <c r="A19" s="23" t="s">
        <v>2</v>
      </c>
      <c r="B19" s="26">
        <v>1000</v>
      </c>
      <c r="C19" s="15"/>
    </row>
    <row r="20" spans="1:4">
      <c r="A20" s="23" t="s">
        <v>45</v>
      </c>
      <c r="B20" s="27">
        <f>Assumptions!$B$42</f>
        <v>145627.15000000002</v>
      </c>
      <c r="C20" s="15"/>
    </row>
    <row r="21" spans="1:4">
      <c r="A21" s="23" t="s">
        <v>105</v>
      </c>
      <c r="B21" s="27">
        <v>50000</v>
      </c>
      <c r="C21" s="15"/>
    </row>
    <row r="22" spans="1:4">
      <c r="A22" s="23" t="s">
        <v>106</v>
      </c>
      <c r="B22" s="27">
        <f>15000*2</f>
        <v>30000</v>
      </c>
      <c r="C22" s="15" t="s">
        <v>50</v>
      </c>
      <c r="D22" s="16"/>
    </row>
    <row r="23" spans="1:4">
      <c r="A23" s="28"/>
      <c r="B23" s="27">
        <f>SUM(B16:B22)</f>
        <v>249877.15000000002</v>
      </c>
      <c r="C23" s="15"/>
    </row>
    <row r="24" spans="1:4">
      <c r="A24" s="6"/>
      <c r="C24" s="15"/>
    </row>
    <row r="25" spans="1:4">
      <c r="A25" s="4" t="s">
        <v>3</v>
      </c>
      <c r="C25" s="15"/>
    </row>
    <row r="26" spans="1:4">
      <c r="A26" s="2" t="s">
        <v>4</v>
      </c>
      <c r="B26" s="8">
        <v>15000</v>
      </c>
      <c r="C26" s="15" t="s">
        <v>48</v>
      </c>
    </row>
    <row r="27" spans="1:4">
      <c r="A27" s="2" t="s">
        <v>77</v>
      </c>
      <c r="B27" s="10">
        <f>Assumptions!$B$33</f>
        <v>578760.00000000012</v>
      </c>
      <c r="C27" s="14"/>
    </row>
    <row r="28" spans="1:4">
      <c r="A28" s="2" t="s">
        <v>16</v>
      </c>
      <c r="B28" s="10">
        <f>Assumptions!$B$44</f>
        <v>72345.000000000015</v>
      </c>
      <c r="C28" s="14"/>
    </row>
    <row r="29" spans="1:4" ht="15" thickBot="1">
      <c r="B29" s="9">
        <f>SUM(B26:B28)</f>
        <v>666105.00000000012</v>
      </c>
      <c r="C29" s="14"/>
    </row>
    <row r="30" spans="1:4" ht="15" thickTop="1">
      <c r="C30" s="14"/>
    </row>
    <row r="33" spans="1:2">
      <c r="A33" s="3" t="s">
        <v>82</v>
      </c>
      <c r="B33" s="3" t="s">
        <v>86</v>
      </c>
    </row>
    <row r="34" spans="1:2">
      <c r="A34" t="s">
        <v>85</v>
      </c>
      <c r="B34">
        <v>25000</v>
      </c>
    </row>
    <row r="35" spans="1:2">
      <c r="A35" t="s">
        <v>80</v>
      </c>
      <c r="B35">
        <v>70000</v>
      </c>
    </row>
    <row r="36" spans="1:2">
      <c r="A36" t="s">
        <v>81</v>
      </c>
      <c r="B36">
        <v>10000</v>
      </c>
    </row>
    <row r="37" spans="1:2">
      <c r="A37" t="s">
        <v>83</v>
      </c>
      <c r="B37">
        <v>30000</v>
      </c>
    </row>
    <row r="38" spans="1:2">
      <c r="A38" t="s">
        <v>84</v>
      </c>
      <c r="B38">
        <v>60000</v>
      </c>
    </row>
    <row r="39" spans="1:2">
      <c r="A39" s="21" t="s">
        <v>87</v>
      </c>
      <c r="B39">
        <f>B34+B35+B36+B37+B38</f>
        <v>195000</v>
      </c>
    </row>
  </sheetData>
  <hyperlinks>
    <hyperlink ref="E2" r:id="rId1"/>
    <hyperlink ref="E3" r:id="rId2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36" sqref="B36"/>
    </sheetView>
  </sheetViews>
  <sheetFormatPr baseColWidth="10" defaultColWidth="8.83203125" defaultRowHeight="14" x14ac:dyDescent="0"/>
  <cols>
    <col min="1" max="1" width="21.1640625" customWidth="1"/>
    <col min="2" max="2" width="17.83203125" customWidth="1"/>
  </cols>
  <sheetData>
    <row r="2" spans="1:2">
      <c r="A2" t="s">
        <v>55</v>
      </c>
      <c r="B2" s="10">
        <f>'Income &amp; Expediture'!$B$29</f>
        <v>666105.00000000012</v>
      </c>
    </row>
    <row r="3" spans="1:2">
      <c r="A3" t="s">
        <v>14</v>
      </c>
      <c r="B3" s="8">
        <f>'Income &amp; Expediture'!$B$13</f>
        <v>756876.46200000006</v>
      </c>
    </row>
    <row r="4" spans="1:2" ht="15" thickBot="1">
      <c r="A4" s="1" t="s">
        <v>56</v>
      </c>
      <c r="B4" s="13">
        <f>B2-B3</f>
        <v>-90771.461999999941</v>
      </c>
    </row>
    <row r="5" spans="1:2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5" workbookViewId="0">
      <selection activeCell="D38" sqref="D38"/>
    </sheetView>
  </sheetViews>
  <sheetFormatPr baseColWidth="10" defaultColWidth="8.83203125" defaultRowHeight="14" x14ac:dyDescent="0"/>
  <cols>
    <col min="1" max="1" width="44.1640625" customWidth="1"/>
    <col min="2" max="2" width="16.1640625" customWidth="1"/>
    <col min="4" max="4" width="47.83203125" customWidth="1"/>
    <col min="6" max="6" width="13.33203125" customWidth="1"/>
    <col min="7" max="7" width="12" customWidth="1"/>
  </cols>
  <sheetData>
    <row r="1" spans="1:4">
      <c r="A1" s="22" t="s">
        <v>34</v>
      </c>
      <c r="B1" s="23"/>
      <c r="C1" s="23"/>
    </row>
    <row r="2" spans="1:4">
      <c r="A2" s="23" t="s">
        <v>101</v>
      </c>
      <c r="B2" s="23">
        <v>6</v>
      </c>
      <c r="C2" s="23"/>
      <c r="D2" t="s">
        <v>64</v>
      </c>
    </row>
    <row r="3" spans="1:4">
      <c r="A3" s="23" t="s">
        <v>102</v>
      </c>
      <c r="B3" s="23">
        <v>5</v>
      </c>
      <c r="C3" s="23" t="s">
        <v>18</v>
      </c>
      <c r="D3" t="s">
        <v>17</v>
      </c>
    </row>
    <row r="4" spans="1:4">
      <c r="A4" s="23" t="s">
        <v>103</v>
      </c>
      <c r="B4" s="23">
        <v>20</v>
      </c>
      <c r="C4" s="23" t="s">
        <v>18</v>
      </c>
      <c r="D4" t="s">
        <v>26</v>
      </c>
    </row>
    <row r="5" spans="1:4">
      <c r="A5" s="23" t="s">
        <v>104</v>
      </c>
      <c r="B5" s="23">
        <v>20</v>
      </c>
      <c r="C5" s="23" t="s">
        <v>18</v>
      </c>
      <c r="D5" t="s">
        <v>27</v>
      </c>
    </row>
    <row r="6" spans="1:4">
      <c r="A6" s="23" t="s">
        <v>19</v>
      </c>
      <c r="B6" s="23">
        <v>5</v>
      </c>
      <c r="C6" s="23" t="s">
        <v>18</v>
      </c>
    </row>
    <row r="7" spans="1:4">
      <c r="A7" s="23" t="s">
        <v>46</v>
      </c>
      <c r="B7" s="23">
        <v>0.03</v>
      </c>
      <c r="C7" s="23"/>
    </row>
    <row r="8" spans="1:4">
      <c r="A8" s="23" t="s">
        <v>66</v>
      </c>
      <c r="B8" s="29">
        <v>70000</v>
      </c>
      <c r="C8" s="23"/>
    </row>
    <row r="9" spans="1:4">
      <c r="A9" s="23" t="s">
        <v>67</v>
      </c>
      <c r="B9" s="30">
        <v>68.900000000000006</v>
      </c>
      <c r="C9" s="23"/>
    </row>
    <row r="10" spans="1:4">
      <c r="A10" s="23" t="s">
        <v>68</v>
      </c>
      <c r="B10" s="29">
        <v>4</v>
      </c>
      <c r="C10" s="23"/>
    </row>
    <row r="11" spans="1:4">
      <c r="A11" s="31" t="s">
        <v>69</v>
      </c>
      <c r="B11" s="31">
        <v>11</v>
      </c>
      <c r="C11" s="23"/>
    </row>
    <row r="12" spans="1:4">
      <c r="A12" s="32" t="s">
        <v>74</v>
      </c>
      <c r="B12" s="33">
        <v>0.1</v>
      </c>
      <c r="C12" s="23"/>
    </row>
    <row r="13" spans="1:4">
      <c r="A13" s="41" t="s">
        <v>108</v>
      </c>
      <c r="B13" s="20">
        <v>3</v>
      </c>
      <c r="C13" t="s">
        <v>109</v>
      </c>
    </row>
    <row r="14" spans="1:4">
      <c r="A14" s="20"/>
      <c r="B14" s="20"/>
    </row>
    <row r="16" spans="1:4">
      <c r="A16" s="22" t="s">
        <v>39</v>
      </c>
      <c r="B16" s="23"/>
      <c r="C16" s="23"/>
      <c r="D16" s="23"/>
    </row>
    <row r="17" spans="1:11">
      <c r="A17" s="23" t="s">
        <v>20</v>
      </c>
      <c r="B17" s="23">
        <v>9</v>
      </c>
      <c r="C17" s="23" t="s">
        <v>18</v>
      </c>
      <c r="D17" s="23" t="s">
        <v>65</v>
      </c>
    </row>
    <row r="18" spans="1:11">
      <c r="A18" s="23" t="s">
        <v>21</v>
      </c>
      <c r="B18" s="23">
        <v>9</v>
      </c>
      <c r="C18" s="23" t="s">
        <v>18</v>
      </c>
      <c r="D18" s="23" t="s">
        <v>22</v>
      </c>
    </row>
    <row r="19" spans="1:11">
      <c r="A19" s="23" t="s">
        <v>23</v>
      </c>
      <c r="B19" s="23">
        <v>18</v>
      </c>
      <c r="C19" s="23" t="s">
        <v>18</v>
      </c>
      <c r="D19" s="24" t="s">
        <v>24</v>
      </c>
    </row>
    <row r="20" spans="1:11">
      <c r="A20" s="23" t="s">
        <v>75</v>
      </c>
      <c r="B20" s="25">
        <v>1006.15</v>
      </c>
      <c r="C20" s="23" t="s">
        <v>18</v>
      </c>
      <c r="D20" s="24"/>
    </row>
    <row r="22" spans="1:11">
      <c r="D22" s="22" t="s">
        <v>28</v>
      </c>
      <c r="E22" s="22"/>
      <c r="F22" s="23"/>
      <c r="G22" s="23"/>
      <c r="H22" s="23"/>
    </row>
    <row r="23" spans="1:11" ht="28">
      <c r="D23" s="22"/>
      <c r="E23" s="22"/>
      <c r="F23" s="34" t="s">
        <v>32</v>
      </c>
      <c r="G23" s="34" t="s">
        <v>31</v>
      </c>
      <c r="H23" s="34" t="s">
        <v>33</v>
      </c>
    </row>
    <row r="24" spans="1:11">
      <c r="D24" s="23" t="s">
        <v>29</v>
      </c>
      <c r="E24" s="23"/>
      <c r="F24" s="23">
        <f>F25*2</f>
        <v>4823.0000000000009</v>
      </c>
      <c r="G24" s="23">
        <v>300</v>
      </c>
      <c r="H24" s="23">
        <f>SUM(F24:G24)</f>
        <v>5123.0000000000009</v>
      </c>
    </row>
    <row r="25" spans="1:11">
      <c r="D25" s="23" t="s">
        <v>30</v>
      </c>
      <c r="E25" s="23"/>
      <c r="F25" s="35">
        <f>B8*B9%/2*B12</f>
        <v>2411.5000000000005</v>
      </c>
      <c r="G25" s="23">
        <v>500</v>
      </c>
      <c r="H25" s="25">
        <f>SUM(F25:G25)</f>
        <v>2911.5000000000005</v>
      </c>
      <c r="K25" t="s">
        <v>70</v>
      </c>
    </row>
    <row r="26" spans="1:11">
      <c r="D26" s="23" t="s">
        <v>9</v>
      </c>
      <c r="E26" s="23"/>
      <c r="F26" s="23">
        <f>F25*2</f>
        <v>4823.0000000000009</v>
      </c>
      <c r="G26" s="23">
        <v>300</v>
      </c>
      <c r="H26" s="23">
        <f>SUM(F26:G26)</f>
        <v>5123.0000000000009</v>
      </c>
      <c r="K26" t="s">
        <v>71</v>
      </c>
    </row>
    <row r="27" spans="1:11">
      <c r="H27" s="18"/>
      <c r="K27" t="s">
        <v>72</v>
      </c>
    </row>
    <row r="28" spans="1:11">
      <c r="A28" s="22" t="s">
        <v>44</v>
      </c>
      <c r="B28" s="23"/>
      <c r="K28" t="s">
        <v>73</v>
      </c>
    </row>
    <row r="29" spans="1:11">
      <c r="A29" s="22"/>
      <c r="B29" s="23" t="s">
        <v>37</v>
      </c>
    </row>
    <row r="30" spans="1:11">
      <c r="A30" s="23" t="s">
        <v>35</v>
      </c>
      <c r="B30" s="26">
        <f>F25*B2*B4</f>
        <v>289380.00000000006</v>
      </c>
    </row>
    <row r="31" spans="1:11">
      <c r="A31" s="23" t="s">
        <v>36</v>
      </c>
      <c r="B31" s="26">
        <f>F26*B2*B6</f>
        <v>144690.00000000003</v>
      </c>
    </row>
    <row r="32" spans="1:11">
      <c r="A32" s="23" t="s">
        <v>29</v>
      </c>
      <c r="B32" s="26">
        <f>F24*B2*B3</f>
        <v>144690.00000000003</v>
      </c>
    </row>
    <row r="33" spans="1:4">
      <c r="A33" s="23" t="s">
        <v>38</v>
      </c>
      <c r="B33" s="27">
        <f>SUM(B30:B32)</f>
        <v>578760.00000000012</v>
      </c>
      <c r="D33" s="19" t="s">
        <v>111</v>
      </c>
    </row>
    <row r="34" spans="1:4" ht="15" thickBot="1">
      <c r="A34" s="50" t="s">
        <v>115</v>
      </c>
      <c r="B34" s="49">
        <f>B33*2</f>
        <v>1157520.0000000002</v>
      </c>
      <c r="D34" s="19"/>
    </row>
    <row r="35" spans="1:4" ht="15" thickTop="1">
      <c r="A35" s="48"/>
      <c r="B35" s="48"/>
    </row>
    <row r="36" spans="1:4">
      <c r="A36" s="22" t="s">
        <v>43</v>
      </c>
      <c r="B36" s="23"/>
    </row>
    <row r="37" spans="1:4">
      <c r="A37" s="23" t="s">
        <v>40</v>
      </c>
      <c r="B37" s="26">
        <f>H25*B19</f>
        <v>52407.000000000007</v>
      </c>
    </row>
    <row r="38" spans="1:4">
      <c r="A38" s="23" t="s">
        <v>41</v>
      </c>
      <c r="B38" s="26">
        <f>H24*B18</f>
        <v>46107.000000000007</v>
      </c>
    </row>
    <row r="39" spans="1:4">
      <c r="A39" s="23" t="s">
        <v>36</v>
      </c>
      <c r="B39" s="26">
        <f>H26*B17</f>
        <v>46107.000000000007</v>
      </c>
    </row>
    <row r="40" spans="1:4">
      <c r="A40" s="23" t="s">
        <v>25</v>
      </c>
      <c r="B40" s="26" t="s">
        <v>114</v>
      </c>
    </row>
    <row r="41" spans="1:4">
      <c r="A41" s="23" t="s">
        <v>47</v>
      </c>
      <c r="B41" s="26">
        <f>B20</f>
        <v>1006.15</v>
      </c>
    </row>
    <row r="42" spans="1:4" ht="15" thickBot="1">
      <c r="A42" s="50" t="s">
        <v>42</v>
      </c>
      <c r="B42" s="49">
        <f>SUM(B37:B41)</f>
        <v>145627.15000000002</v>
      </c>
    </row>
    <row r="43" spans="1:4" ht="15" thickTop="1">
      <c r="A43" s="48"/>
      <c r="B43" s="48"/>
    </row>
    <row r="44" spans="1:4" ht="15" thickBot="1">
      <c r="A44" s="50" t="s">
        <v>63</v>
      </c>
      <c r="B44" s="51">
        <f>F25*B5*10%*15</f>
        <v>72345.000000000015</v>
      </c>
    </row>
    <row r="45" spans="1:4" ht="15" thickTop="1"/>
  </sheetData>
  <pageMargins left="0.7" right="0.7" top="0.75" bottom="0.75" header="0.3" footer="0.3"/>
  <pageSetup paperSize="9" orientation="portrait" horizontalDpi="4294967292" verticalDpi="4294967292"/>
  <ignoredErrors>
    <ignoredError sqref="B4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8.83203125" defaultRowHeight="14" x14ac:dyDescent="0"/>
  <cols>
    <col min="1" max="1" width="29.5" customWidth="1"/>
  </cols>
  <sheetData>
    <row r="1" spans="1:1">
      <c r="A1" t="s">
        <v>6</v>
      </c>
    </row>
    <row r="2" spans="1:1">
      <c r="A2" t="s">
        <v>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9"/>
  <sheetViews>
    <sheetView tabSelected="1" topLeftCell="A2" workbookViewId="0">
      <selection activeCell="G36" sqref="G36"/>
    </sheetView>
  </sheetViews>
  <sheetFormatPr baseColWidth="10" defaultRowHeight="14" x14ac:dyDescent="0"/>
  <cols>
    <col min="1" max="1" width="38.1640625" customWidth="1"/>
    <col min="2" max="3" width="20" customWidth="1"/>
    <col min="4" max="4" width="21.1640625" customWidth="1"/>
    <col min="5" max="5" width="21.6640625" customWidth="1"/>
    <col min="6" max="6" width="16.5" customWidth="1"/>
    <col min="7" max="7" width="24.6640625" customWidth="1"/>
  </cols>
  <sheetData>
    <row r="3" spans="1:7">
      <c r="A3" s="23"/>
      <c r="B3" s="23" t="s">
        <v>91</v>
      </c>
      <c r="C3" s="23" t="s">
        <v>93</v>
      </c>
      <c r="D3" s="23" t="s">
        <v>94</v>
      </c>
      <c r="E3" s="23" t="s">
        <v>95</v>
      </c>
      <c r="F3" s="23" t="s">
        <v>92</v>
      </c>
    </row>
    <row r="4" spans="1:7">
      <c r="A4" s="36" t="s">
        <v>88</v>
      </c>
      <c r="B4" s="36"/>
      <c r="C4" s="23"/>
      <c r="D4" s="23"/>
      <c r="E4" s="23"/>
      <c r="F4" s="23"/>
    </row>
    <row r="5" spans="1:7">
      <c r="A5" s="23" t="s">
        <v>0</v>
      </c>
      <c r="B5" s="42">
        <f>1500*2</f>
        <v>3000</v>
      </c>
      <c r="C5" s="26">
        <v>0</v>
      </c>
      <c r="D5" s="26">
        <f>1500*3</f>
        <v>4500</v>
      </c>
      <c r="E5" s="40">
        <v>0</v>
      </c>
      <c r="F5" s="40">
        <v>0</v>
      </c>
    </row>
    <row r="6" spans="1:7">
      <c r="A6" s="23" t="s">
        <v>76</v>
      </c>
      <c r="B6" s="42">
        <v>16000</v>
      </c>
      <c r="C6" s="26">
        <v>16000</v>
      </c>
      <c r="D6" s="26">
        <v>16000</v>
      </c>
      <c r="E6" s="23">
        <v>16000</v>
      </c>
      <c r="F6" s="23">
        <v>16000</v>
      </c>
    </row>
    <row r="7" spans="1:7">
      <c r="A7" s="23" t="s">
        <v>1</v>
      </c>
      <c r="B7" s="42">
        <v>250</v>
      </c>
      <c r="C7" s="26">
        <v>0</v>
      </c>
      <c r="D7" s="26">
        <v>0</v>
      </c>
      <c r="E7" s="40">
        <v>0</v>
      </c>
      <c r="F7" s="40">
        <v>0</v>
      </c>
    </row>
    <row r="8" spans="1:7">
      <c r="A8" s="23" t="s">
        <v>2</v>
      </c>
      <c r="B8" s="42">
        <v>4000</v>
      </c>
      <c r="C8" s="26">
        <v>2500</v>
      </c>
      <c r="D8" s="26">
        <v>2500</v>
      </c>
      <c r="E8" s="23">
        <v>2500</v>
      </c>
      <c r="F8" s="23">
        <v>2500</v>
      </c>
    </row>
    <row r="9" spans="1:7">
      <c r="A9" s="23" t="s">
        <v>45</v>
      </c>
      <c r="B9" s="43">
        <f>Assumptions!$B$42</f>
        <v>145627.15000000002</v>
      </c>
      <c r="C9" s="27">
        <v>0</v>
      </c>
      <c r="D9" s="27">
        <f>145627*0.5</f>
        <v>72813.5</v>
      </c>
      <c r="E9" s="44">
        <v>0</v>
      </c>
      <c r="F9" s="40">
        <v>0</v>
      </c>
    </row>
    <row r="10" spans="1:7">
      <c r="A10" s="23" t="s">
        <v>107</v>
      </c>
      <c r="B10" s="43">
        <v>50000</v>
      </c>
      <c r="C10" s="27">
        <v>0</v>
      </c>
      <c r="D10" s="27">
        <v>0</v>
      </c>
      <c r="E10" s="40">
        <v>0</v>
      </c>
      <c r="F10" s="40">
        <v>0</v>
      </c>
    </row>
    <row r="11" spans="1:7">
      <c r="A11" s="23" t="s">
        <v>49</v>
      </c>
      <c r="B11" s="43">
        <f>15000*2</f>
        <v>30000</v>
      </c>
      <c r="C11" s="27">
        <v>0</v>
      </c>
      <c r="D11" s="27">
        <f>15000</f>
        <v>15000</v>
      </c>
      <c r="E11" s="40">
        <v>0</v>
      </c>
      <c r="F11" s="40">
        <v>0</v>
      </c>
    </row>
    <row r="12" spans="1:7">
      <c r="A12" s="36" t="s">
        <v>87</v>
      </c>
      <c r="B12" s="27">
        <f>SUM(B5:B11)</f>
        <v>248877.15000000002</v>
      </c>
      <c r="C12" s="27">
        <f>SUM(C5:C11)</f>
        <v>18500</v>
      </c>
      <c r="D12" s="27">
        <f>SUM(D5:D11)</f>
        <v>110813.5</v>
      </c>
      <c r="E12" s="40">
        <f>SUM(E5:E11)</f>
        <v>18500</v>
      </c>
      <c r="F12" s="40">
        <f>SUM(F5:F11)</f>
        <v>18500</v>
      </c>
    </row>
    <row r="13" spans="1:7">
      <c r="A13" s="23"/>
      <c r="B13" s="23"/>
      <c r="C13" s="23"/>
      <c r="D13" s="23"/>
      <c r="E13" s="23"/>
      <c r="F13" s="23"/>
    </row>
    <row r="14" spans="1:7">
      <c r="A14" s="22" t="s">
        <v>14</v>
      </c>
      <c r="B14" s="36"/>
      <c r="C14" s="36"/>
      <c r="D14" s="36"/>
      <c r="E14" s="23"/>
      <c r="F14" s="23"/>
    </row>
    <row r="15" spans="1:7">
      <c r="A15" s="23" t="s">
        <v>10</v>
      </c>
      <c r="B15" s="46">
        <v>35000</v>
      </c>
      <c r="C15" s="46">
        <v>35000</v>
      </c>
      <c r="D15" s="46">
        <v>35000</v>
      </c>
      <c r="E15" s="26">
        <v>35000</v>
      </c>
      <c r="F15" s="26">
        <v>35000</v>
      </c>
    </row>
    <row r="16" spans="1:7">
      <c r="A16" s="23" t="s">
        <v>60</v>
      </c>
      <c r="B16" s="26">
        <f>B12*8%</f>
        <v>19910.172000000002</v>
      </c>
      <c r="C16" s="26">
        <f>(B12-B17)*8%</f>
        <v>15928.137600000004</v>
      </c>
      <c r="D16" s="26">
        <f>(B12-C17-B17)*8%</f>
        <v>11946.103200000003</v>
      </c>
      <c r="E16" s="47">
        <f>(B12-B17-C17-D17)*8%</f>
        <v>7964.0688000000027</v>
      </c>
      <c r="F16" s="26">
        <f>(B12-B17-C17-D17-E17)*8%</f>
        <v>3982.0344000000018</v>
      </c>
      <c r="G16" t="s">
        <v>112</v>
      </c>
    </row>
    <row r="17" spans="1:6">
      <c r="A17" s="23" t="s">
        <v>61</v>
      </c>
      <c r="B17" s="26">
        <f>B12/5</f>
        <v>49775.430000000008</v>
      </c>
      <c r="C17" s="26">
        <f>B12/5</f>
        <v>49775.430000000008</v>
      </c>
      <c r="D17" s="26">
        <f>B12/5</f>
        <v>49775.430000000008</v>
      </c>
      <c r="E17" s="26">
        <f>B12/5</f>
        <v>49775.430000000008</v>
      </c>
      <c r="F17" s="26">
        <f>B12/5</f>
        <v>49775.430000000008</v>
      </c>
    </row>
    <row r="18" spans="1:6">
      <c r="A18" s="23" t="s">
        <v>5</v>
      </c>
      <c r="B18" s="26">
        <v>360000</v>
      </c>
      <c r="C18" s="26">
        <v>360000</v>
      </c>
      <c r="D18" s="26">
        <f>60000*8</f>
        <v>480000</v>
      </c>
      <c r="E18" s="26">
        <v>480000</v>
      </c>
      <c r="F18" s="26">
        <v>480000</v>
      </c>
    </row>
    <row r="19" spans="1:6">
      <c r="A19" s="38" t="s">
        <v>98</v>
      </c>
      <c r="B19" s="26">
        <v>7000</v>
      </c>
      <c r="C19" s="26">
        <v>6000</v>
      </c>
      <c r="D19" s="26">
        <v>6500</v>
      </c>
      <c r="E19" s="26">
        <v>6500</v>
      </c>
      <c r="F19" s="26">
        <v>6500</v>
      </c>
    </row>
    <row r="20" spans="1:6">
      <c r="A20" s="38" t="s">
        <v>13</v>
      </c>
      <c r="B20" s="27">
        <v>58250.86</v>
      </c>
      <c r="C20" s="27">
        <v>58250.86</v>
      </c>
      <c r="D20" s="43">
        <v>65000</v>
      </c>
      <c r="E20" s="42">
        <v>65000</v>
      </c>
      <c r="F20" s="42">
        <v>65000</v>
      </c>
    </row>
    <row r="21" spans="1:6">
      <c r="A21" s="38" t="s">
        <v>11</v>
      </c>
      <c r="B21" s="26">
        <v>2000</v>
      </c>
      <c r="C21" s="26">
        <v>2000</v>
      </c>
      <c r="D21" s="26">
        <v>2060</v>
      </c>
      <c r="E21" s="26">
        <v>2080</v>
      </c>
      <c r="F21" s="26">
        <v>2100</v>
      </c>
    </row>
    <row r="22" spans="1:6">
      <c r="A22" s="38" t="s">
        <v>51</v>
      </c>
      <c r="B22" s="26">
        <v>20160</v>
      </c>
      <c r="C22" s="26">
        <v>20160</v>
      </c>
      <c r="D22" s="26">
        <v>30000</v>
      </c>
      <c r="E22" s="26">
        <v>30000</v>
      </c>
      <c r="F22" s="26">
        <v>30000</v>
      </c>
    </row>
    <row r="23" spans="1:6">
      <c r="A23" s="38" t="s">
        <v>52</v>
      </c>
      <c r="B23" s="45">
        <v>195000</v>
      </c>
      <c r="C23" s="45">
        <v>195000</v>
      </c>
      <c r="D23" s="45">
        <f>195000*1.5</f>
        <v>292500</v>
      </c>
      <c r="E23" s="26">
        <v>300000</v>
      </c>
      <c r="F23" s="26">
        <v>300000</v>
      </c>
    </row>
    <row r="24" spans="1:6">
      <c r="A24" s="38" t="s">
        <v>12</v>
      </c>
      <c r="B24" s="26">
        <f>15*150*2</f>
        <v>4500</v>
      </c>
      <c r="C24" s="26">
        <f>15*150*2</f>
        <v>4500</v>
      </c>
      <c r="D24" s="26">
        <f>15*150*3</f>
        <v>6750</v>
      </c>
      <c r="E24" s="26">
        <v>7000</v>
      </c>
      <c r="F24" s="26">
        <v>7000</v>
      </c>
    </row>
    <row r="25" spans="1:6">
      <c r="A25" s="38" t="s">
        <v>54</v>
      </c>
      <c r="B25" s="27">
        <v>6000</v>
      </c>
      <c r="C25" s="27">
        <v>6000</v>
      </c>
      <c r="D25" s="27">
        <v>6000</v>
      </c>
      <c r="E25" s="26">
        <v>6000</v>
      </c>
      <c r="F25" s="26">
        <v>6000</v>
      </c>
    </row>
    <row r="26" spans="1:6">
      <c r="A26" s="36" t="s">
        <v>87</v>
      </c>
      <c r="B26" s="26">
        <f>SUM(B15:B25)</f>
        <v>757596.46200000006</v>
      </c>
      <c r="C26" s="26">
        <f>SUM(C5:C25)</f>
        <v>789614.42760000005</v>
      </c>
      <c r="D26" s="26">
        <f>SUM(D5:D25)</f>
        <v>1207158.5331999999</v>
      </c>
      <c r="E26" s="26">
        <f>SUM(E5:E25)</f>
        <v>1026319.4988000001</v>
      </c>
      <c r="F26" s="26">
        <f>SUM(F5:F25)</f>
        <v>1022357.4644000001</v>
      </c>
    </row>
    <row r="27" spans="1:6">
      <c r="A27" s="23"/>
      <c r="B27" s="29"/>
      <c r="C27" s="29"/>
      <c r="D27" s="29"/>
      <c r="E27" s="23"/>
      <c r="F27" s="37"/>
    </row>
    <row r="28" spans="1:6">
      <c r="A28" s="39" t="s">
        <v>3</v>
      </c>
      <c r="B28" s="23"/>
      <c r="C28" s="23"/>
      <c r="D28" s="23"/>
      <c r="E28" s="23"/>
      <c r="F28" s="37"/>
    </row>
    <row r="29" spans="1:6">
      <c r="A29" s="24" t="s">
        <v>4</v>
      </c>
      <c r="B29" s="26">
        <v>15000</v>
      </c>
      <c r="C29" s="26">
        <v>15000</v>
      </c>
      <c r="D29" s="42">
        <v>22000</v>
      </c>
      <c r="E29" s="37">
        <v>22000</v>
      </c>
      <c r="F29" s="37">
        <v>22000</v>
      </c>
    </row>
    <row r="30" spans="1:6">
      <c r="A30" s="24" t="s">
        <v>77</v>
      </c>
      <c r="B30" s="27">
        <v>1157520</v>
      </c>
      <c r="C30" s="27">
        <f>Assumptions!$B$34</f>
        <v>1157520.0000000002</v>
      </c>
      <c r="D30" s="43">
        <f>C30*1.5</f>
        <v>1736280.0000000005</v>
      </c>
      <c r="E30" s="27">
        <f>D30</f>
        <v>1736280.0000000005</v>
      </c>
      <c r="F30" s="27">
        <f>E30</f>
        <v>1736280.0000000005</v>
      </c>
    </row>
    <row r="31" spans="1:6">
      <c r="A31" s="24" t="s">
        <v>16</v>
      </c>
      <c r="B31" s="27">
        <f>Assumptions!$B$44</f>
        <v>72345.000000000015</v>
      </c>
      <c r="C31" s="27">
        <f>Assumptions!$B$44</f>
        <v>72345.000000000015</v>
      </c>
      <c r="D31" s="43">
        <f>Assumptions!$B$44</f>
        <v>72345.000000000015</v>
      </c>
      <c r="E31" s="40">
        <f>D31*1.5</f>
        <v>108517.50000000003</v>
      </c>
      <c r="F31" s="40">
        <f>E31</f>
        <v>108517.50000000003</v>
      </c>
    </row>
    <row r="32" spans="1:6">
      <c r="A32" s="24" t="s">
        <v>87</v>
      </c>
      <c r="B32" s="27">
        <f>SUM(B29:B31)</f>
        <v>1244865</v>
      </c>
      <c r="C32" s="27">
        <f>SUM(C29:C31)</f>
        <v>1244865.0000000002</v>
      </c>
      <c r="D32" s="43">
        <f>SUM(D29:D31)</f>
        <v>1830625.0000000005</v>
      </c>
      <c r="E32" s="26">
        <f>SUM(E29:E31)</f>
        <v>1866797.5000000005</v>
      </c>
      <c r="F32" s="26">
        <f>SUM(F29:F31)</f>
        <v>1866797.5000000005</v>
      </c>
    </row>
    <row r="33" spans="1:6">
      <c r="A33" s="23"/>
      <c r="B33" s="23"/>
      <c r="C33" s="23"/>
      <c r="D33" s="23"/>
      <c r="E33" s="23"/>
      <c r="F33" s="23"/>
    </row>
    <row r="34" spans="1:6">
      <c r="A34" s="22" t="s">
        <v>113</v>
      </c>
      <c r="B34" s="23"/>
      <c r="C34" s="23"/>
      <c r="D34" s="23"/>
      <c r="E34" s="23"/>
      <c r="F34" s="23"/>
    </row>
    <row r="35" spans="1:6">
      <c r="A35" s="23" t="s">
        <v>89</v>
      </c>
      <c r="B35" s="27">
        <f>B32</f>
        <v>1244865</v>
      </c>
      <c r="C35" s="27">
        <f>C32</f>
        <v>1244865.0000000002</v>
      </c>
      <c r="D35" s="27">
        <f>D32</f>
        <v>1830625.0000000005</v>
      </c>
      <c r="E35" s="27">
        <f>E32</f>
        <v>1866797.5000000005</v>
      </c>
      <c r="F35" s="27">
        <f>F32</f>
        <v>1866797.5000000005</v>
      </c>
    </row>
    <row r="36" spans="1:6">
      <c r="A36" s="23" t="s">
        <v>90</v>
      </c>
      <c r="B36" s="27">
        <f>B26</f>
        <v>757596.46200000006</v>
      </c>
      <c r="C36" s="27">
        <f>C26</f>
        <v>789614.42760000005</v>
      </c>
      <c r="D36" s="27">
        <f>D26</f>
        <v>1207158.5331999999</v>
      </c>
      <c r="E36" s="37">
        <f>E26</f>
        <v>1026319.4988000001</v>
      </c>
      <c r="F36" s="37">
        <f>F26</f>
        <v>1022357.4644000001</v>
      </c>
    </row>
    <row r="37" spans="1:6">
      <c r="A37" s="23" t="s">
        <v>110</v>
      </c>
      <c r="B37" s="40">
        <f>B35-B36</f>
        <v>487268.53799999994</v>
      </c>
      <c r="C37" s="40">
        <f>C35-C36</f>
        <v>455250.57240000018</v>
      </c>
      <c r="D37" s="40">
        <f>D35-D36</f>
        <v>623466.46680000052</v>
      </c>
      <c r="E37" s="40">
        <f>E35-E36</f>
        <v>840478.00120000041</v>
      </c>
      <c r="F37" s="40">
        <f>F35-F36</f>
        <v>844440.03560000041</v>
      </c>
    </row>
    <row r="38" spans="1:6">
      <c r="A38" s="23"/>
      <c r="B38" s="23"/>
      <c r="C38" s="23"/>
      <c r="D38" s="23"/>
      <c r="E38" s="23"/>
      <c r="F38" s="23"/>
    </row>
    <row r="39" spans="1:6">
      <c r="A39" s="23"/>
      <c r="B39" s="23"/>
      <c r="C39" s="23"/>
      <c r="D39" s="23"/>
      <c r="E39" s="23"/>
      <c r="F39" s="23"/>
    </row>
    <row r="40" spans="1:6">
      <c r="A40" s="23"/>
      <c r="B40" s="23"/>
      <c r="C40" s="23"/>
      <c r="D40" s="23"/>
      <c r="E40" s="23"/>
      <c r="F40" s="23"/>
    </row>
    <row r="41" spans="1:6">
      <c r="A41" s="22" t="s">
        <v>96</v>
      </c>
      <c r="B41" s="23"/>
      <c r="C41" s="23"/>
      <c r="D41" s="23"/>
      <c r="E41" s="23"/>
      <c r="F41" s="23"/>
    </row>
    <row r="42" spans="1:6">
      <c r="A42" s="22" t="s">
        <v>93</v>
      </c>
      <c r="B42" s="23"/>
      <c r="C42" s="23"/>
      <c r="D42" s="23"/>
      <c r="E42" s="23"/>
      <c r="F42" s="23"/>
    </row>
    <row r="43" spans="1:6">
      <c r="A43" s="23" t="s">
        <v>97</v>
      </c>
      <c r="B43" s="23"/>
      <c r="C43" s="23"/>
      <c r="D43" s="23"/>
      <c r="E43" s="23"/>
      <c r="F43" s="23"/>
    </row>
    <row r="44" spans="1:6">
      <c r="A44" s="23"/>
      <c r="B44" s="23"/>
      <c r="C44" s="23"/>
      <c r="D44" s="23"/>
      <c r="E44" s="23"/>
      <c r="F44" s="23"/>
    </row>
    <row r="45" spans="1:6">
      <c r="A45" s="23"/>
      <c r="B45" s="23"/>
      <c r="C45" s="23"/>
      <c r="D45" s="23"/>
      <c r="E45" s="23"/>
      <c r="F45" s="23"/>
    </row>
    <row r="46" spans="1:6">
      <c r="A46" s="23"/>
      <c r="B46" s="23"/>
      <c r="C46" s="23"/>
      <c r="D46" s="23"/>
      <c r="E46" s="23"/>
      <c r="F46" s="23"/>
    </row>
    <row r="47" spans="1:6">
      <c r="A47" s="22" t="s">
        <v>94</v>
      </c>
      <c r="B47" s="23"/>
      <c r="C47" s="23"/>
      <c r="D47" s="23"/>
      <c r="E47" s="23"/>
      <c r="F47" s="23"/>
    </row>
    <row r="48" spans="1:6">
      <c r="A48" s="23" t="s">
        <v>99</v>
      </c>
      <c r="B48" s="23"/>
      <c r="C48" s="23"/>
      <c r="D48" s="23"/>
      <c r="E48" s="23"/>
      <c r="F48" s="23"/>
    </row>
    <row r="49" spans="1:6">
      <c r="A49" s="23" t="s">
        <v>100</v>
      </c>
      <c r="B49" s="23"/>
      <c r="C49" s="23"/>
      <c r="D49" s="23"/>
      <c r="E49" s="23"/>
      <c r="F49" s="2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 &amp; Expediture</vt:lpstr>
      <vt:lpstr>Profit and Loss</vt:lpstr>
      <vt:lpstr>Assumptions</vt:lpstr>
      <vt:lpstr>Marketing</vt:lpstr>
      <vt:lpstr>Financial Forecast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Casey</dc:creator>
  <cp:lastModifiedBy>Chris Casey</cp:lastModifiedBy>
  <dcterms:created xsi:type="dcterms:W3CDTF">2016-01-10T17:00:31Z</dcterms:created>
  <dcterms:modified xsi:type="dcterms:W3CDTF">2016-02-25T12:07:41Z</dcterms:modified>
</cp:coreProperties>
</file>